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MattR</author>
    <author>Matthew Richey</author>
  </authors>
  <commentList>
    <comment ref="A7" authorId="0">
      <text>
        <r>
          <rPr>
            <b/>
            <sz val="8"/>
            <rFont val="Tahoma"/>
            <family val="0"/>
          </rPr>
          <t>Tip:</t>
        </r>
        <r>
          <rPr>
            <sz val="8"/>
            <rFont val="Tahoma"/>
            <family val="2"/>
          </rPr>
          <t xml:space="preserve">  It's best to use net income for continuing operations and before any one-time charges.  Check the "Management's Discussion and Analysis" in the 10K/10Q for insight on the "clean" net income number.</t>
        </r>
      </text>
    </comment>
    <comment ref="A12" authorId="0">
      <text>
        <r>
          <rPr>
            <sz val="8"/>
            <rFont val="Tahoma"/>
            <family val="2"/>
          </rPr>
          <t xml:space="preserve">This is </t>
        </r>
        <r>
          <rPr>
            <b/>
            <sz val="8"/>
            <rFont val="Tahoma"/>
            <family val="2"/>
          </rPr>
          <t>Total Current Assets</t>
        </r>
      </text>
    </comment>
    <comment ref="A13" authorId="1">
      <text>
        <r>
          <rPr>
            <sz val="8"/>
            <rFont val="Tahoma"/>
            <family val="2"/>
          </rPr>
          <t xml:space="preserve">Includes any and all of the following:  </t>
        </r>
        <r>
          <rPr>
            <b/>
            <sz val="8"/>
            <rFont val="Tahoma"/>
            <family val="2"/>
          </rPr>
          <t>short-term borrowings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notes payable</t>
        </r>
        <r>
          <rPr>
            <sz val="8"/>
            <rFont val="Tahoma"/>
            <family val="2"/>
          </rPr>
          <t xml:space="preserve">, and </t>
        </r>
        <r>
          <rPr>
            <b/>
            <sz val="8"/>
            <rFont val="Tahoma"/>
            <family val="2"/>
          </rPr>
          <t>current portion of LT debt.</t>
        </r>
      </text>
    </comment>
    <comment ref="A14" authorId="0">
      <text>
        <r>
          <rPr>
            <sz val="8"/>
            <rFont val="Tahoma"/>
            <family val="2"/>
          </rPr>
          <t xml:space="preserve">This is </t>
        </r>
        <r>
          <rPr>
            <b/>
            <sz val="8"/>
            <rFont val="Tahoma"/>
            <family val="2"/>
          </rPr>
          <t>Total Current Liabilities</t>
        </r>
      </text>
    </comment>
    <comment ref="A19" authorId="0">
      <text>
        <r>
          <rPr>
            <b/>
            <u val="single"/>
            <sz val="8"/>
            <rFont val="Tahoma"/>
            <family val="2"/>
          </rPr>
          <t xml:space="preserve"> (Sales - COGS)</t>
        </r>
        <r>
          <rPr>
            <b/>
            <sz val="8"/>
            <rFont val="Tahoma"/>
            <family val="0"/>
          </rPr>
          <t xml:space="preserve">
        Sales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 Net Income</t>
        </r>
        <r>
          <rPr>
            <b/>
            <sz val="8"/>
            <rFont val="Tahoma"/>
            <family val="0"/>
          </rPr>
          <t xml:space="preserve">
        Sales</t>
        </r>
      </text>
    </comment>
    <comment ref="D21" authorId="0">
      <text>
        <r>
          <rPr>
            <sz val="8"/>
            <rFont val="Tahoma"/>
            <family val="2"/>
          </rPr>
          <t xml:space="preserve">This figure is the change in number of net margin </t>
        </r>
        <r>
          <rPr>
            <b/>
            <sz val="8"/>
            <rFont val="Tahoma"/>
            <family val="2"/>
          </rPr>
          <t>percentage points</t>
        </r>
      </text>
    </comment>
    <comment ref="A22" authorId="0">
      <text>
        <r>
          <rPr>
            <b/>
            <u val="single"/>
            <sz val="8"/>
            <rFont val="Tahoma"/>
            <family val="2"/>
          </rPr>
          <t xml:space="preserve"> Cash &amp; Equivalents</t>
        </r>
        <r>
          <rPr>
            <b/>
            <sz val="8"/>
            <rFont val="Tahoma"/>
            <family val="0"/>
          </rPr>
          <t xml:space="preserve">
(ST Debt + LT Debt)</t>
        </r>
      </text>
    </comment>
    <comment ref="A23" authorId="0">
      <text>
        <r>
          <rPr>
            <b/>
            <sz val="8"/>
            <rFont val="Tahoma"/>
            <family val="0"/>
          </rPr>
          <t>Cash minus total debt</t>
        </r>
      </text>
    </comment>
    <comment ref="A24" authorId="0">
      <text>
        <r>
          <rPr>
            <b/>
            <u val="single"/>
            <sz val="8"/>
            <rFont val="Tahoma"/>
            <family val="2"/>
          </rPr>
          <t xml:space="preserve"> (Current Assets - Cash &amp; Equivs)</t>
        </r>
        <r>
          <rPr>
            <b/>
            <sz val="8"/>
            <rFont val="Tahoma"/>
            <family val="0"/>
          </rPr>
          <t xml:space="preserve">
   (Current Liabilities - ST Debt)</t>
        </r>
      </text>
    </comment>
  </commentList>
</comments>
</file>

<file path=xl/sharedStrings.xml><?xml version="1.0" encoding="utf-8"?>
<sst xmlns="http://schemas.openxmlformats.org/spreadsheetml/2006/main" count="40" uniqueCount="39">
  <si>
    <t>Union Pacific Corp</t>
  </si>
  <si>
    <t>Current Period</t>
  </si>
  <si>
    <t>Year-ago Period</t>
  </si>
  <si>
    <t xml:space="preserve">Year-over-Year  </t>
  </si>
  <si>
    <t>Growth</t>
  </si>
  <si>
    <t>Income Statement . . .</t>
  </si>
  <si>
    <t xml:space="preserve">  Sales</t>
  </si>
  <si>
    <t xml:space="preserve">  Operating Expenses</t>
  </si>
  <si>
    <t xml:space="preserve">  Net Income</t>
  </si>
  <si>
    <t xml:space="preserve">  Shares Outstanding</t>
  </si>
  <si>
    <t>Balance Sheet . . .</t>
  </si>
  <si>
    <t xml:space="preserve">  Cash &amp; Equivalents</t>
  </si>
  <si>
    <t xml:space="preserve">  Current Assets</t>
  </si>
  <si>
    <t xml:space="preserve">  Short-term Debt</t>
  </si>
  <si>
    <t xml:space="preserve">  Current Liabilities</t>
  </si>
  <si>
    <t xml:space="preserve">  Long-term Debt</t>
  </si>
  <si>
    <t xml:space="preserve">  Equity</t>
  </si>
  <si>
    <t>Margins &amp; Ratios . . .</t>
  </si>
  <si>
    <t xml:space="preserve">  Operating Margins</t>
  </si>
  <si>
    <t xml:space="preserve">  Operating Ratio</t>
  </si>
  <si>
    <t xml:space="preserve">  Net Margins</t>
  </si>
  <si>
    <t xml:space="preserve">  Cash-to-Debt</t>
  </si>
  <si>
    <t xml:space="preserve">  Net Cash</t>
  </si>
  <si>
    <t xml:space="preserve">  Cash Flow Ratio</t>
  </si>
  <si>
    <t>Other measures…</t>
  </si>
  <si>
    <t xml:space="preserve">  Share price</t>
  </si>
  <si>
    <t xml:space="preserve">  Market Cap</t>
  </si>
  <si>
    <t xml:space="preserve">  Debt/Mkt Cap</t>
  </si>
  <si>
    <t xml:space="preserve">  Debt/Total Cap</t>
  </si>
  <si>
    <t xml:space="preserve">  Debt/Equity</t>
  </si>
  <si>
    <t xml:space="preserve">  Ops cash Flow</t>
  </si>
  <si>
    <t xml:space="preserve">  Cash used by inv</t>
  </si>
  <si>
    <t xml:space="preserve">  Inv/Prop % Revs</t>
  </si>
  <si>
    <t xml:space="preserve">  Free Cash Flow </t>
  </si>
  <si>
    <t xml:space="preserve">  FCF Margin</t>
  </si>
  <si>
    <t xml:space="preserve">  Dividends paid</t>
  </si>
  <si>
    <t xml:space="preserve">  FCF after Divs</t>
  </si>
  <si>
    <t>Cash Flow items…</t>
  </si>
  <si>
    <t>($MM)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</si>
</sst>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0.0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2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12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1" fillId="0" borderId="5" xfId="19" applyNumberFormat="1" applyFont="1" applyBorder="1" applyAlignment="1">
      <alignment/>
    </xf>
    <xf numFmtId="164" fontId="1" fillId="0" borderId="6" xfId="19" applyNumberFormat="1" applyFont="1" applyBorder="1" applyAlignment="1">
      <alignment/>
    </xf>
    <xf numFmtId="166" fontId="1" fillId="0" borderId="8" xfId="0" applyNumberFormat="1" applyFont="1" applyBorder="1" applyAlignment="1">
      <alignment horizontal="center" vertical="center" wrapText="1"/>
    </xf>
    <xf numFmtId="43" fontId="1" fillId="0" borderId="0" xfId="15" applyNumberFormat="1" applyFont="1" applyBorder="1" applyAlignment="1">
      <alignment/>
    </xf>
    <xf numFmtId="164" fontId="1" fillId="0" borderId="0" xfId="19" applyNumberFormat="1" applyFont="1" applyBorder="1" applyAlignment="1">
      <alignment horizontal="center" vertical="center" wrapText="1"/>
    </xf>
    <xf numFmtId="42" fontId="1" fillId="0" borderId="9" xfId="15" applyNumberFormat="1" applyFont="1" applyBorder="1" applyAlignment="1">
      <alignment/>
    </xf>
    <xf numFmtId="167" fontId="1" fillId="0" borderId="10" xfId="17" applyNumberFormat="1" applyFont="1" applyBorder="1" applyAlignment="1">
      <alignment/>
    </xf>
    <xf numFmtId="42" fontId="1" fillId="0" borderId="1" xfId="15" applyNumberFormat="1" applyFont="1" applyBorder="1" applyAlignment="1">
      <alignment/>
    </xf>
    <xf numFmtId="168" fontId="1" fillId="0" borderId="2" xfId="17" applyNumberFormat="1" applyFont="1" applyBorder="1" applyAlignment="1">
      <alignment/>
    </xf>
    <xf numFmtId="42" fontId="1" fillId="0" borderId="2" xfId="15" applyNumberFormat="1" applyFont="1" applyBorder="1" applyAlignment="1">
      <alignment/>
    </xf>
    <xf numFmtId="13" fontId="1" fillId="0" borderId="11" xfId="0" applyNumberFormat="1" applyFont="1" applyBorder="1" applyAlignment="1">
      <alignment/>
    </xf>
    <xf numFmtId="12" fontId="1" fillId="0" borderId="9" xfId="0" applyNumberFormat="1" applyFont="1" applyBorder="1" applyAlignment="1">
      <alignment/>
    </xf>
    <xf numFmtId="38" fontId="1" fillId="0" borderId="2" xfId="0" applyNumberFormat="1" applyFont="1" applyFill="1" applyBorder="1" applyAlignment="1" applyProtection="1">
      <alignment vertical="center" wrapText="1"/>
      <protection locked="0"/>
    </xf>
    <xf numFmtId="165" fontId="1" fillId="0" borderId="2" xfId="0" applyNumberFormat="1" applyFont="1" applyFill="1" applyBorder="1" applyAlignment="1" applyProtection="1">
      <alignment wrapText="1"/>
      <protection locked="0"/>
    </xf>
    <xf numFmtId="38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8" fontId="1" fillId="0" borderId="9" xfId="0" applyNumberFormat="1" applyFont="1" applyFill="1" applyBorder="1" applyAlignment="1" applyProtection="1">
      <alignment vertical="center" wrapText="1"/>
      <protection locked="0"/>
    </xf>
    <xf numFmtId="38" fontId="1" fillId="0" borderId="10" xfId="0" applyNumberFormat="1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Border="1" applyAlignment="1">
      <alignment horizontal="center" vertical="center" wrapText="1"/>
    </xf>
    <xf numFmtId="38" fontId="1" fillId="0" borderId="1" xfId="0" applyNumberFormat="1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 wrapText="1"/>
      <protection locked="0"/>
    </xf>
    <xf numFmtId="38" fontId="1" fillId="0" borderId="1" xfId="0" applyNumberFormat="1" applyFont="1" applyFill="1" applyBorder="1" applyAlignment="1">
      <alignment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67" fontId="1" fillId="0" borderId="5" xfId="17" applyNumberFormat="1" applyFont="1" applyBorder="1" applyAlignment="1">
      <alignment/>
    </xf>
    <xf numFmtId="42" fontId="1" fillId="0" borderId="0" xfId="15" applyNumberFormat="1" applyFont="1" applyBorder="1" applyAlignment="1">
      <alignment/>
    </xf>
    <xf numFmtId="167" fontId="1" fillId="0" borderId="0" xfId="17" applyNumberFormat="1" applyFont="1" applyBorder="1" applyAlignment="1">
      <alignment/>
    </xf>
    <xf numFmtId="44" fontId="1" fillId="0" borderId="0" xfId="17" applyFont="1" applyBorder="1" applyAlignment="1">
      <alignment horizontal="center" vertical="center" wrapText="1"/>
    </xf>
    <xf numFmtId="164" fontId="1" fillId="0" borderId="0" xfId="19" applyNumberFormat="1" applyFont="1" applyBorder="1" applyAlignment="1">
      <alignment/>
    </xf>
    <xf numFmtId="171" fontId="1" fillId="0" borderId="1" xfId="15" applyNumberFormat="1" applyFont="1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43" fontId="1" fillId="0" borderId="4" xfId="15" applyNumberFormat="1" applyFont="1" applyBorder="1" applyAlignment="1">
      <alignment horizontal="center" vertical="center" wrapText="1"/>
    </xf>
    <xf numFmtId="167" fontId="1" fillId="0" borderId="12" xfId="17" applyNumberFormat="1" applyFont="1" applyBorder="1" applyAlignment="1">
      <alignment horizontal="center" vertical="center" wrapText="1"/>
    </xf>
    <xf numFmtId="167" fontId="1" fillId="0" borderId="4" xfId="17" applyNumberFormat="1" applyFont="1" applyBorder="1" applyAlignment="1">
      <alignment horizontal="center" vertical="center" wrapText="1"/>
    </xf>
    <xf numFmtId="167" fontId="1" fillId="0" borderId="13" xfId="15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4" sqref="F4"/>
    </sheetView>
  </sheetViews>
  <sheetFormatPr defaultColWidth="9.140625" defaultRowHeight="12.75"/>
  <cols>
    <col min="1" max="1" width="17.7109375" style="0" customWidth="1"/>
    <col min="2" max="2" width="13.00390625" style="0" bestFit="1" customWidth="1"/>
    <col min="3" max="3" width="13.57421875" style="0" bestFit="1" customWidth="1"/>
    <col min="4" max="4" width="13.7109375" style="0" bestFit="1" customWidth="1"/>
  </cols>
  <sheetData>
    <row r="1" spans="1:4" ht="15.75">
      <c r="A1" s="1"/>
      <c r="B1" s="68" t="s">
        <v>0</v>
      </c>
      <c r="C1" s="69"/>
      <c r="D1" s="67"/>
    </row>
    <row r="2" spans="1:4" ht="12.75">
      <c r="A2" s="1"/>
      <c r="B2" s="70" t="s">
        <v>1</v>
      </c>
      <c r="C2" s="70" t="s">
        <v>2</v>
      </c>
      <c r="D2" s="71" t="s">
        <v>3</v>
      </c>
    </row>
    <row r="3" spans="1:4" ht="13.5">
      <c r="A3" s="1"/>
      <c r="B3" s="3">
        <v>36616</v>
      </c>
      <c r="C3" s="3">
        <v>36250</v>
      </c>
      <c r="D3" s="2" t="s">
        <v>4</v>
      </c>
    </row>
    <row r="4" spans="1:4" ht="14.25" thickBot="1">
      <c r="A4" s="4" t="s">
        <v>5</v>
      </c>
      <c r="B4" s="41" t="s">
        <v>38</v>
      </c>
      <c r="C4" s="41" t="s">
        <v>38</v>
      </c>
      <c r="D4" s="2"/>
    </row>
    <row r="5" spans="1:4" ht="12.75">
      <c r="A5" s="5" t="s">
        <v>6</v>
      </c>
      <c r="B5" s="42">
        <v>2913</v>
      </c>
      <c r="C5" s="43">
        <v>2740</v>
      </c>
      <c r="D5" s="44">
        <f>IF(AND(B5&lt;&gt;"",C5&lt;&gt;""),(B5/C5)-1,"")</f>
        <v>0.06313868613138696</v>
      </c>
    </row>
    <row r="6" spans="1:4" ht="25.5">
      <c r="A6" s="5" t="s">
        <v>7</v>
      </c>
      <c r="B6" s="45">
        <v>2461</v>
      </c>
      <c r="C6" s="34">
        <v>2378</v>
      </c>
      <c r="D6" s="46">
        <f>IF(AND(B6&lt;&gt;"",C6&lt;&gt;""),(B6/C6)-1,"")</f>
        <v>0.03490328006728349</v>
      </c>
    </row>
    <row r="7" spans="1:4" ht="12.75">
      <c r="A7" s="5" t="s">
        <v>8</v>
      </c>
      <c r="B7" s="45">
        <v>185</v>
      </c>
      <c r="C7" s="34">
        <v>129</v>
      </c>
      <c r="D7" s="46">
        <f>IF(AND(B7&lt;&gt;"",C7&lt;&gt;""),IF(AND(C7&gt;0,B7&gt;0),(B7/C7)-1,"N/A"),"")</f>
        <v>0.43410852713178305</v>
      </c>
    </row>
    <row r="8" spans="1:4" ht="25.5">
      <c r="A8" s="5" t="s">
        <v>9</v>
      </c>
      <c r="B8" s="47">
        <v>269.3</v>
      </c>
      <c r="C8" s="35">
        <v>247.4</v>
      </c>
      <c r="D8" s="46">
        <f>IF(AND(B8&lt;&gt;"",C8&lt;&gt;""),(B8/C8)-1,"")</f>
        <v>0.08852061438965242</v>
      </c>
    </row>
    <row r="9" spans="1:4" ht="12.75">
      <c r="A9" s="5"/>
      <c r="B9" s="48"/>
      <c r="C9" s="36"/>
      <c r="D9" s="49"/>
    </row>
    <row r="10" spans="1:4" ht="25.5">
      <c r="A10" s="5" t="s">
        <v>10</v>
      </c>
      <c r="B10" s="50"/>
      <c r="C10" s="37"/>
      <c r="D10" s="51"/>
    </row>
    <row r="11" spans="1:4" ht="25.5">
      <c r="A11" s="5" t="s">
        <v>11</v>
      </c>
      <c r="B11" s="45">
        <v>60</v>
      </c>
      <c r="C11" s="34">
        <v>175</v>
      </c>
      <c r="D11" s="46">
        <f>IF(AND(B11&lt;&gt;"",C11&lt;&gt;""),(B11/C11)-1,"")</f>
        <v>-0.6571428571428571</v>
      </c>
    </row>
    <row r="12" spans="1:4" ht="12.75">
      <c r="A12" s="5" t="s">
        <v>12</v>
      </c>
      <c r="B12" s="45">
        <v>1251</v>
      </c>
      <c r="C12" s="34">
        <v>1314</v>
      </c>
      <c r="D12" s="46">
        <f>IF(AND(B12&lt;&gt;"",C12&lt;&gt;""),(B12/C12)-1,"")</f>
        <v>-0.047945205479452024</v>
      </c>
    </row>
    <row r="13" spans="1:4" ht="25.5">
      <c r="A13" s="5" t="s">
        <v>13</v>
      </c>
      <c r="B13" s="45">
        <v>225</v>
      </c>
      <c r="C13" s="62">
        <v>214</v>
      </c>
      <c r="D13" s="49">
        <f>IF(AND(B13&lt;&gt;"",C14&lt;&gt;""),IF(AND(B13=0,C14=0),"No Debt",IF(C14=0,"Initiated Debt",(B13/C14)-1)),"")</f>
        <v>-0.9220103986135182</v>
      </c>
    </row>
    <row r="14" spans="1:4" ht="25.5">
      <c r="A14" s="5" t="s">
        <v>14</v>
      </c>
      <c r="B14" s="45">
        <v>2795</v>
      </c>
      <c r="C14" s="34">
        <v>2885</v>
      </c>
      <c r="D14" s="46">
        <f>IF(AND(B14&lt;&gt;"",C15&lt;&gt;""),(B14/C15)-1,"")</f>
        <v>-0.6682886304296226</v>
      </c>
    </row>
    <row r="15" spans="1:4" ht="25.5">
      <c r="A15" s="5" t="s">
        <v>15</v>
      </c>
      <c r="B15" s="45">
        <v>8352</v>
      </c>
      <c r="C15" s="34">
        <v>8426</v>
      </c>
      <c r="D15" s="46">
        <f>IF(AND(B15&lt;&gt;"",C15&lt;&gt;""),(B15/C15)-1,"")</f>
        <v>-0.008782340375029674</v>
      </c>
    </row>
    <row r="16" spans="1:4" ht="12.75">
      <c r="A16" s="4" t="s">
        <v>16</v>
      </c>
      <c r="B16" s="60">
        <v>8139</v>
      </c>
      <c r="C16" s="61">
        <v>8001</v>
      </c>
      <c r="D16" s="46">
        <f>IF(AND(B16&lt;&gt;"",C16&lt;&gt;""),(B16/C16)-1,"")</f>
        <v>0.017247844019497638</v>
      </c>
    </row>
    <row r="17" spans="1:4" ht="12.75">
      <c r="A17" s="9"/>
      <c r="B17" s="52"/>
      <c r="C17" s="38"/>
      <c r="D17" s="51"/>
    </row>
    <row r="18" spans="1:4" ht="12.75">
      <c r="A18" s="54" t="s">
        <v>17</v>
      </c>
      <c r="B18" s="52"/>
      <c r="C18" s="38"/>
      <c r="D18" s="51"/>
    </row>
    <row r="19" spans="1:4" ht="25.5">
      <c r="A19" s="5" t="s">
        <v>18</v>
      </c>
      <c r="B19" s="10">
        <f>IF(AND(B5&lt;&gt;"",B6&lt;&gt;""),(B5-B6)/B5,"")</f>
        <v>0.15516649502231378</v>
      </c>
      <c r="C19" s="11">
        <f>IF(AND(C5&lt;&gt;"",C6&lt;&gt;""),(C5-C6)/C5,"")</f>
        <v>0.13211678832116788</v>
      </c>
      <c r="D19" s="12">
        <f>IF(AND(B19&lt;&gt;"",C19&lt;&gt;""),(B19-C19)*100,"")</f>
        <v>2.3049706701145896</v>
      </c>
    </row>
    <row r="20" spans="1:4" ht="25.5">
      <c r="A20" s="5" t="s">
        <v>19</v>
      </c>
      <c r="B20" s="10">
        <f>1-B19</f>
        <v>0.8448335049776863</v>
      </c>
      <c r="C20" s="11">
        <f>1-C19</f>
        <v>0.8678832116788321</v>
      </c>
      <c r="D20" s="12">
        <f>IF(AND(B20&lt;&gt;"",C20&lt;&gt;""),(B20-C20)*100,"")</f>
        <v>-2.304970670114581</v>
      </c>
    </row>
    <row r="21" spans="1:4" ht="12.75">
      <c r="A21" s="5" t="s">
        <v>20</v>
      </c>
      <c r="B21" s="10">
        <f>IF(AND(B7&lt;&gt;"",B5&lt;&gt;""),B7/B5,"")</f>
        <v>0.06350841057329214</v>
      </c>
      <c r="C21" s="11">
        <f>IF(AND(C7&lt;&gt;"",C5&lt;&gt;""),C7/C5,"")</f>
        <v>0.04708029197080292</v>
      </c>
      <c r="D21" s="12">
        <f>IF(AND(B21&lt;&gt;"",C21&lt;&gt;""),(B21-C21)*100,"")</f>
        <v>1.6428118602489217</v>
      </c>
    </row>
    <row r="22" spans="1:4" ht="12.75">
      <c r="A22" s="5" t="s">
        <v>21</v>
      </c>
      <c r="B22" s="13">
        <f>IF(AND(B11&lt;&gt;"",B13&lt;&gt;"",B15&lt;&gt;""),IF((B13+B15)&gt;0,(B11/(B13+B15)),"No Debt!"),"")</f>
        <v>0.006995452955578874</v>
      </c>
      <c r="C22" s="39">
        <f>IF(AND(C11&lt;&gt;"",C13&lt;&gt;"",C15&lt;&gt;""),IF((C13+C15)&gt;0,(C11/(C13+C15)),"No Debt!"),"")</f>
        <v>0.02025462962962963</v>
      </c>
      <c r="D22" s="49">
        <f>IF(AND(B22&lt;&gt;"",C22&lt;&gt;""),IF(C22&lt;&gt;"No Debt!",IF(B22&lt;&gt;"No Debt!",((B22/C22)-1),"Eliminated Debt!"),IF(B22&lt;&gt;"No Debt!","Initiated Debt","No Debt!")),"")</f>
        <v>-0.6546244940788487</v>
      </c>
    </row>
    <row r="23" spans="1:4" ht="12.75">
      <c r="A23" s="5" t="s">
        <v>22</v>
      </c>
      <c r="B23" s="14">
        <f>IF(AND(B11&lt;&gt;"",B13&lt;&gt;"",B15&lt;&gt;""),B11-(B13+B15),"")</f>
        <v>-8517</v>
      </c>
      <c r="C23" s="40">
        <f>IF(AND(C11&lt;&gt;"",C13&lt;&gt;"",C15&lt;&gt;""),C11-(C13+C15),"")</f>
        <v>-8465</v>
      </c>
      <c r="D23" s="46" t="str">
        <f>IF(AND(B23&lt;&gt;"",C23&lt;&gt;""),IF(AND(C23&gt;0,B23&gt;0),(B23/C23)-1,"N/A"),"")</f>
        <v>N/A</v>
      </c>
    </row>
    <row r="24" spans="1:4" ht="26.25" thickBot="1">
      <c r="A24" s="5" t="s">
        <v>23</v>
      </c>
      <c r="B24" s="15">
        <f>IF(AND(B11&lt;&gt;"",B12&lt;&gt;"",B14&lt;&gt;"",B13&lt;&gt;""),(B12-B11)/(B14-B13),"")</f>
        <v>0.4634241245136187</v>
      </c>
      <c r="C24" s="16">
        <f>IF(AND(C11&lt;&gt;"",C12&lt;&gt;"",C15&lt;&gt;"",C14&lt;&gt;""),(C12-C11)/(C15-C14),"")</f>
        <v>0.20555856343620285</v>
      </c>
      <c r="D24" s="53">
        <f>IF(AND(B24&lt;&gt;"",C24&lt;&gt;""),(B24/C24)-1,"")</f>
        <v>1.2544627514749438</v>
      </c>
    </row>
    <row r="25" spans="1:4" ht="26.25" thickBot="1">
      <c r="A25" s="5" t="s">
        <v>24</v>
      </c>
      <c r="B25" s="17"/>
      <c r="C25" s="17"/>
      <c r="D25" s="18"/>
    </row>
    <row r="26" spans="1:4" ht="12.75">
      <c r="A26" s="4" t="s">
        <v>25</v>
      </c>
      <c r="B26" s="33">
        <v>39.125</v>
      </c>
      <c r="C26" s="32">
        <v>53.4375</v>
      </c>
      <c r="D26" s="19">
        <f>IF(AND(B26&lt;&gt;"",C26&lt;&gt;""),(B26/C26)-1,"")</f>
        <v>-0.26783625730994154</v>
      </c>
    </row>
    <row r="27" spans="1:4" ht="12.75">
      <c r="A27" s="4" t="s">
        <v>26</v>
      </c>
      <c r="B27" s="6">
        <f>B26*B8</f>
        <v>10536.362500000001</v>
      </c>
      <c r="C27" s="7">
        <f>C26*C8</f>
        <v>13220.4375</v>
      </c>
      <c r="D27" s="8">
        <f>IF(AND(B27&lt;&gt;"",C27&lt;&gt;""),(B27/C27)-1,"")</f>
        <v>-0.20302467297319016</v>
      </c>
    </row>
    <row r="28" spans="1:4" ht="12.75">
      <c r="A28" s="4" t="s">
        <v>27</v>
      </c>
      <c r="B28" s="20">
        <f>(B13+B15)/B27</f>
        <v>0.8140380515571668</v>
      </c>
      <c r="C28" s="21">
        <f>(C13+C15)/C27</f>
        <v>0.6535335914564098</v>
      </c>
      <c r="D28" s="8">
        <f>IF(AND(B28&lt;&gt;"",C28&lt;&gt;""),(B28/C28)-1,"")</f>
        <v>0.2455948128742247</v>
      </c>
    </row>
    <row r="29" spans="1:4" ht="12.75">
      <c r="A29" s="4" t="s">
        <v>28</v>
      </c>
      <c r="B29" s="20">
        <f>B15/(B15+B16)</f>
        <v>0.5064580680371111</v>
      </c>
      <c r="C29" s="20">
        <f>C15/(C15+C16)</f>
        <v>0.5129360199671273</v>
      </c>
      <c r="D29" s="8"/>
    </row>
    <row r="30" spans="1:4" ht="13.5" thickBot="1">
      <c r="A30" s="4" t="s">
        <v>29</v>
      </c>
      <c r="B30" s="22">
        <f>(B13+B15)/B16</f>
        <v>1.0538149649834132</v>
      </c>
      <c r="C30" s="23">
        <f>(C13+C15)/C16</f>
        <v>1.079865016872891</v>
      </c>
      <c r="D30" s="24">
        <f>IF(AND(B30&lt;&gt;"",C30&lt;&gt;""),(B30-C30)*100,"")</f>
        <v>-2.605005188947773</v>
      </c>
    </row>
    <row r="31" spans="1:4" ht="12.75">
      <c r="A31" s="1"/>
      <c r="B31" s="1"/>
      <c r="C31" s="1"/>
      <c r="D31" s="1"/>
    </row>
    <row r="32" spans="1:4" ht="13.5" thickBot="1">
      <c r="A32" s="4" t="s">
        <v>37</v>
      </c>
      <c r="B32" s="25"/>
      <c r="C32" s="1"/>
      <c r="D32" s="26"/>
    </row>
    <row r="33" spans="1:4" ht="12.75">
      <c r="A33" s="4" t="s">
        <v>30</v>
      </c>
      <c r="B33" s="27">
        <v>355</v>
      </c>
      <c r="C33" s="28">
        <v>413</v>
      </c>
      <c r="D33" s="64">
        <f>C33-B33</f>
        <v>58</v>
      </c>
    </row>
    <row r="34" spans="1:4" ht="12.75">
      <c r="A34" s="4" t="s">
        <v>31</v>
      </c>
      <c r="B34" s="29">
        <v>-354</v>
      </c>
      <c r="C34" s="30">
        <v>-462</v>
      </c>
      <c r="D34" s="65">
        <f>C34-B34</f>
        <v>-108</v>
      </c>
    </row>
    <row r="35" spans="1:4" ht="12.75">
      <c r="A35" s="4" t="s">
        <v>32</v>
      </c>
      <c r="B35" s="20">
        <f>B34/B5</f>
        <v>-0.121524201853759</v>
      </c>
      <c r="C35" s="21">
        <f>C34/C5</f>
        <v>-0.1686131386861314</v>
      </c>
      <c r="D35" s="63">
        <f>(C35-B35)*100</f>
        <v>-4.708893683237239</v>
      </c>
    </row>
    <row r="36" spans="1:4" ht="12.75">
      <c r="A36" s="4" t="s">
        <v>33</v>
      </c>
      <c r="B36" s="29">
        <f>B33+B34</f>
        <v>1</v>
      </c>
      <c r="C36" s="31">
        <f>C33+C34</f>
        <v>-49</v>
      </c>
      <c r="D36" s="65">
        <f>(C36-B36)*-1</f>
        <v>50</v>
      </c>
    </row>
    <row r="37" spans="1:4" ht="12.75">
      <c r="A37" s="4" t="s">
        <v>34</v>
      </c>
      <c r="B37" s="20">
        <f>B36/B5</f>
        <v>0.00034328870580157915</v>
      </c>
      <c r="C37" s="21">
        <f>C36/C5</f>
        <v>-0.017883211678832115</v>
      </c>
      <c r="D37" s="63">
        <f>((C37-B37)*100)*-1</f>
        <v>1.8226500384633693</v>
      </c>
    </row>
    <row r="38" spans="1:4" ht="12.75">
      <c r="A38" s="4" t="s">
        <v>35</v>
      </c>
      <c r="B38" s="29">
        <v>-52</v>
      </c>
      <c r="C38" s="31">
        <v>-49</v>
      </c>
      <c r="D38" s="65">
        <f>C38-B38</f>
        <v>3</v>
      </c>
    </row>
    <row r="39" spans="1:4" ht="13.5" thickBot="1">
      <c r="A39" s="4" t="s">
        <v>36</v>
      </c>
      <c r="B39" s="55">
        <f>B36+B38</f>
        <v>-51</v>
      </c>
      <c r="C39" s="55">
        <f>C36+C38</f>
        <v>-98</v>
      </c>
      <c r="D39" s="66">
        <f>(C39-B39)</f>
        <v>-47</v>
      </c>
    </row>
    <row r="40" spans="1:4" ht="12.75">
      <c r="A40" s="4"/>
      <c r="B40" s="56"/>
      <c r="C40" s="57"/>
      <c r="D40" s="58"/>
    </row>
    <row r="41" spans="1:4" ht="12.75">
      <c r="A41" s="4"/>
      <c r="B41" s="59"/>
      <c r="C41" s="59"/>
      <c r="D41" s="58"/>
    </row>
  </sheetData>
  <mergeCells count="1">
    <mergeCell ref="B1:C1"/>
  </mergeCells>
  <printOptions/>
  <pageMargins left="0.75" right="0.75" top="1" bottom="1" header="0.5" footer="0.5"/>
  <pageSetup horizontalDpi="300" verticalDpi="300" orientation="portrait" r:id="rId3"/>
  <headerFooter alignWithMargins="0">
    <oddHeader>&amp;Css00422.xls</oddHeader>
    <oddFooter>&amp;CPrepared by Roy Blanchard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Blanchard</dc:creator>
  <cp:keywords/>
  <dc:description/>
  <cp:lastModifiedBy>Roy Blanchard</cp:lastModifiedBy>
  <cp:lastPrinted>2000-04-23T22:29:14Z</cp:lastPrinted>
  <dcterms:created xsi:type="dcterms:W3CDTF">2000-04-23T01:46:50Z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